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 firstSheet="2" activeTab="2"/>
  </bookViews>
  <sheets>
    <sheet name="Молодежная" sheetId="1" r:id="rId1"/>
    <sheet name="Коммунистическая 33" sheetId="2" r:id="rId2"/>
    <sheet name="Чугунова 15 а" sheetId="7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20" i="7" l="1"/>
  <c r="E19" i="7"/>
  <c r="E18" i="7"/>
  <c r="E17" i="7"/>
  <c r="E16" i="7"/>
  <c r="E15" i="7"/>
  <c r="E8" i="7"/>
  <c r="E7" i="7" s="1"/>
  <c r="F5" i="7"/>
  <c r="E14" i="7"/>
  <c r="D14" i="7"/>
  <c r="E13" i="7"/>
  <c r="D13" i="7"/>
  <c r="E12" i="7"/>
  <c r="D12" i="7"/>
  <c r="E11" i="7"/>
  <c r="E10" i="7"/>
  <c r="F10" i="7" s="1"/>
  <c r="E9" i="7"/>
  <c r="D9" i="7"/>
  <c r="F20" i="7" l="1"/>
  <c r="E22" i="7"/>
  <c r="F23" i="7" s="1"/>
  <c r="F8" i="7"/>
  <c r="F9" i="7"/>
  <c r="F15" i="7"/>
  <c r="F16" i="7"/>
  <c r="F17" i="7"/>
  <c r="F18" i="7"/>
  <c r="F19" i="7"/>
  <c r="F7" i="7" l="1"/>
  <c r="E9" i="2"/>
  <c r="E15" i="2"/>
  <c r="E20" i="2" l="1"/>
  <c r="E21" i="2"/>
  <c r="E19" i="2"/>
  <c r="E18" i="2"/>
  <c r="E17" i="2"/>
  <c r="E16" i="2"/>
  <c r="E14" i="2"/>
  <c r="E13" i="2"/>
  <c r="E12" i="2"/>
  <c r="E11" i="2"/>
  <c r="D14" i="2"/>
  <c r="D13" i="2"/>
  <c r="D12" i="2"/>
  <c r="D9" i="2"/>
  <c r="E10" i="2" l="1"/>
  <c r="F10" i="2" s="1"/>
  <c r="E8" i="2"/>
  <c r="E7" i="2" s="1"/>
  <c r="F9" i="2"/>
  <c r="F21" i="2"/>
  <c r="F16" i="2"/>
  <c r="F17" i="2"/>
  <c r="F18" i="2"/>
  <c r="F19" i="2"/>
  <c r="F20" i="2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D18" i="1"/>
  <c r="D17" i="1"/>
  <c r="D16" i="1"/>
  <c r="D15" i="1"/>
  <c r="D14" i="1"/>
  <c r="D13" i="1"/>
  <c r="D12" i="1"/>
  <c r="D11" i="1"/>
  <c r="D9" i="1"/>
  <c r="F5" i="1"/>
  <c r="F8" i="2" l="1"/>
  <c r="F9" i="1"/>
  <c r="F20" i="1"/>
  <c r="F22" i="1"/>
  <c r="E10" i="1"/>
  <c r="E8" i="1" s="1"/>
  <c r="F19" i="1"/>
  <c r="F21" i="1"/>
  <c r="F23" i="1"/>
  <c r="F10" i="1"/>
  <c r="F24" i="1"/>
  <c r="E23" i="2" l="1"/>
  <c r="F24" i="2" s="1"/>
  <c r="F7" i="2"/>
  <c r="F8" i="1"/>
  <c r="E7" i="1"/>
  <c r="F7" i="1" l="1"/>
  <c r="E26" i="1"/>
  <c r="F27" i="1" s="1"/>
</calcChain>
</file>

<file path=xl/sharedStrings.xml><?xml version="1.0" encoding="utf-8"?>
<sst xmlns="http://schemas.openxmlformats.org/spreadsheetml/2006/main" count="94" uniqueCount="36">
  <si>
    <t>Структура платы за содержание жилого помещения</t>
  </si>
  <si>
    <t>Площадь жилых и офисных помещений МКД (кв.м.)</t>
  </si>
  <si>
    <t>№ п/п</t>
  </si>
  <si>
    <t>Статьи затрат</t>
  </si>
  <si>
    <t>Годовая плата (тыс.руб.)</t>
  </si>
  <si>
    <t>Плата за 1кв.м. площади (руб./кв.м.)</t>
  </si>
  <si>
    <t>1.</t>
  </si>
  <si>
    <t>Ремонт и техническое обслуживание внутридомовых инженерных систем и конструктивных элементов здания:</t>
  </si>
  <si>
    <t>1.1.</t>
  </si>
  <si>
    <t>1.2.</t>
  </si>
  <si>
    <t xml:space="preserve">Услуги специализированных организаций: </t>
  </si>
  <si>
    <t>Содержание аварийно-диспетчерской службы</t>
  </si>
  <si>
    <t>2.</t>
  </si>
  <si>
    <t>3.</t>
  </si>
  <si>
    <t>Содержание придомовой территории</t>
  </si>
  <si>
    <t>4.</t>
  </si>
  <si>
    <t>Содержание мест общего пользования</t>
  </si>
  <si>
    <t>5.</t>
  </si>
  <si>
    <t>Сбор и вывоз бытовых отходов</t>
  </si>
  <si>
    <t>6.</t>
  </si>
  <si>
    <t>Затраты по содержанию управляющей компании</t>
  </si>
  <si>
    <t>7.</t>
  </si>
  <si>
    <t>Налоги, прибыль и прочие затраты</t>
  </si>
  <si>
    <t>Итого расходов с рентабельностью:</t>
  </si>
  <si>
    <t>по адресу: г. Раменское, ул. Молодежная, д. 27</t>
  </si>
  <si>
    <t>1.1.1.</t>
  </si>
  <si>
    <t>1.1.2.</t>
  </si>
  <si>
    <t xml:space="preserve">Содержание и обслуживание лифтового хозяйства </t>
  </si>
  <si>
    <t>по факту</t>
  </si>
  <si>
    <t>Размер платы за содержание жилого помещения без учета размера платы коммунальных ресурсов потребляемых при содержании и использовании общего имущества МКД и размера платы за сбор, вывоз и утилизацию бытовох отходов</t>
  </si>
  <si>
    <t>Плановое и текущее обслуживание внутридомовых инженерных систем и конструктивных элеметов здания; текущий ремонт внутридомовых инженерных систем и конструктивных элементов здания, в т.ч.:</t>
  </si>
  <si>
    <t>по адресу: г. Раменское, ул. Коммунистическая, д. 33</t>
  </si>
  <si>
    <t xml:space="preserve"> - обслуживание ВДГО</t>
  </si>
  <si>
    <t xml:space="preserve"> - обслуживание ОДПУ</t>
  </si>
  <si>
    <t>Услуги специализированных организаций</t>
  </si>
  <si>
    <t>по адресу: г. Раменское, ул. Чугунова, д. 15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</si>
</sst>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mikhalchenko\AppData\Local\Microsoft\Windows\Temporary%20Internet%20Files\Content.IE5\VZ4ZLDUV\&#1058;&#1072;&#1088;&#1080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дежная"/>
      <sheetName val="Коммунистическая 33"/>
      <sheetName val="Коммунистическая 35"/>
      <sheetName val="Коммунистическая 34"/>
      <sheetName val="Коммунистическая 29"/>
      <sheetName val="Десантная 15"/>
      <sheetName val="Чугунова 15а"/>
    </sheetNames>
    <sheetDataSet>
      <sheetData sheetId="0">
        <row r="4">
          <cell r="AG4">
            <v>20705.2</v>
          </cell>
        </row>
        <row r="8">
          <cell r="B8" t="str">
            <v>Текущий ремонт  внутридомовых инженерных систем и конструктивных элементов здания (материалы, услуги подрядных организаций по ремонту)</v>
          </cell>
          <cell r="AH8">
            <v>540000</v>
          </cell>
        </row>
        <row r="9">
          <cell r="AH9">
            <v>1714320.4354115352</v>
          </cell>
        </row>
        <row r="10">
          <cell r="AH10">
            <v>346292.72795313015</v>
          </cell>
        </row>
        <row r="11">
          <cell r="AH11">
            <v>24000</v>
          </cell>
        </row>
        <row r="12">
          <cell r="AH12">
            <v>12826.081051847857</v>
          </cell>
        </row>
        <row r="14">
          <cell r="B14" t="str">
            <v xml:space="preserve"> - техническое обслуживание систем пожарной безопасности</v>
          </cell>
          <cell r="AH14">
            <v>660000</v>
          </cell>
        </row>
        <row r="15">
          <cell r="B15" t="str">
            <v xml:space="preserve"> - ежемесячное обслуживание общедомового прибора учета воды и тепла</v>
          </cell>
          <cell r="AH15">
            <v>60000</v>
          </cell>
        </row>
        <row r="16">
          <cell r="B16" t="str">
            <v xml:space="preserve"> - испытание электроустановок</v>
          </cell>
          <cell r="AH16">
            <v>12000</v>
          </cell>
        </row>
        <row r="17">
          <cell r="B17" t="str">
            <v xml:space="preserve"> - сбор, хранение и утилизация ртутносодержащих ламп</v>
          </cell>
          <cell r="AH17">
            <v>6000</v>
          </cell>
        </row>
        <row r="18">
          <cell r="B18" t="str">
            <v xml:space="preserve"> - обслуживание крышной котельной</v>
          </cell>
          <cell r="AH18">
            <v>540000</v>
          </cell>
        </row>
        <row r="19">
          <cell r="B19" t="str">
            <v xml:space="preserve"> - поверка прибора учета</v>
          </cell>
          <cell r="AH19">
            <v>15000</v>
          </cell>
        </row>
        <row r="20">
          <cell r="B20" t="str">
            <v xml:space="preserve"> - химическая очистка теплообменников</v>
          </cell>
          <cell r="AH20">
            <v>60000</v>
          </cell>
        </row>
        <row r="21">
          <cell r="B21" t="str">
            <v xml:space="preserve"> - АСКУЭ</v>
          </cell>
          <cell r="AH21">
            <v>144000</v>
          </cell>
        </row>
        <row r="22">
          <cell r="AH22">
            <v>470470.79418821901</v>
          </cell>
        </row>
        <row r="26">
          <cell r="AH26">
            <v>1122000</v>
          </cell>
        </row>
        <row r="27">
          <cell r="AH27">
            <v>1095648.0716983124</v>
          </cell>
        </row>
        <row r="30">
          <cell r="AH30">
            <v>1159200</v>
          </cell>
        </row>
        <row r="38">
          <cell r="AH38">
            <v>374802.1614771153</v>
          </cell>
        </row>
        <row r="39">
          <cell r="AH39">
            <v>75710.036618377286</v>
          </cell>
        </row>
        <row r="40">
          <cell r="AH40">
            <v>15610.312502908331</v>
          </cell>
        </row>
        <row r="41">
          <cell r="AH41">
            <v>64832.799196591026</v>
          </cell>
        </row>
        <row r="42">
          <cell r="AH42">
            <v>129863.83623464026</v>
          </cell>
        </row>
        <row r="43">
          <cell r="AH43">
            <v>135495.50681142346</v>
          </cell>
        </row>
        <row r="44">
          <cell r="AH44">
            <v>5192.2822560000004</v>
          </cell>
        </row>
        <row r="45">
          <cell r="AH45">
            <v>144000</v>
          </cell>
        </row>
        <row r="46">
          <cell r="AH46">
            <v>156000</v>
          </cell>
        </row>
        <row r="50">
          <cell r="AG50">
            <v>37846.937689167091</v>
          </cell>
        </row>
      </sheetData>
      <sheetData sheetId="1">
        <row r="8">
          <cell r="AH8">
            <v>267600</v>
          </cell>
        </row>
        <row r="9">
          <cell r="AH9">
            <v>502380</v>
          </cell>
        </row>
        <row r="10">
          <cell r="AH10">
            <v>96647.18418539477</v>
          </cell>
        </row>
        <row r="11">
          <cell r="AH11">
            <v>6336</v>
          </cell>
        </row>
        <row r="12">
          <cell r="AH12">
            <v>3424.0071163366365</v>
          </cell>
        </row>
        <row r="14">
          <cell r="AH14">
            <v>20400</v>
          </cell>
        </row>
        <row r="15">
          <cell r="AH15">
            <v>6600</v>
          </cell>
        </row>
        <row r="16">
          <cell r="AH16">
            <v>6000</v>
          </cell>
        </row>
        <row r="17">
          <cell r="AH17">
            <v>48000</v>
          </cell>
        </row>
        <row r="18">
          <cell r="AH18">
            <v>114177.53480847235</v>
          </cell>
        </row>
        <row r="22">
          <cell r="AH22">
            <v>172800</v>
          </cell>
        </row>
        <row r="23">
          <cell r="AH23">
            <v>350400</v>
          </cell>
        </row>
        <row r="26">
          <cell r="AH26">
            <v>420000</v>
          </cell>
        </row>
        <row r="30">
          <cell r="AH30">
            <v>132259.20000000001</v>
          </cell>
        </row>
        <row r="31">
          <cell r="AH31">
            <v>22048.685142110233</v>
          </cell>
        </row>
        <row r="32">
          <cell r="AH32">
            <v>4167.2761057826283</v>
          </cell>
        </row>
        <row r="33">
          <cell r="AH33">
            <v>15734.13116912419</v>
          </cell>
        </row>
        <row r="34">
          <cell r="AH34">
            <v>50402.520000000004</v>
          </cell>
        </row>
        <row r="35">
          <cell r="AH35">
            <v>32883.110145119179</v>
          </cell>
        </row>
        <row r="36">
          <cell r="AH36">
            <v>1386.1140688808532</v>
          </cell>
        </row>
        <row r="37">
          <cell r="AH37">
            <v>42600</v>
          </cell>
        </row>
        <row r="38">
          <cell r="AH38">
            <v>51110.05641094991</v>
          </cell>
        </row>
        <row r="42">
          <cell r="AI42">
            <v>118367.79095760854</v>
          </cell>
        </row>
      </sheetData>
      <sheetData sheetId="2">
        <row r="8">
          <cell r="AH8">
            <v>249000</v>
          </cell>
        </row>
      </sheetData>
      <sheetData sheetId="3">
        <row r="8">
          <cell r="AH8">
            <v>116400</v>
          </cell>
        </row>
      </sheetData>
      <sheetData sheetId="4">
        <row r="8">
          <cell r="AH8">
            <v>132000</v>
          </cell>
        </row>
      </sheetData>
      <sheetData sheetId="5">
        <row r="7">
          <cell r="AG7">
            <v>88380.086025467201</v>
          </cell>
        </row>
        <row r="8">
          <cell r="AG8">
            <v>24700</v>
          </cell>
        </row>
        <row r="13">
          <cell r="AG13">
            <v>49500</v>
          </cell>
        </row>
      </sheetData>
      <sheetData sheetId="6">
        <row r="7">
          <cell r="AG7">
            <v>215027.05446399999</v>
          </cell>
        </row>
        <row r="13">
          <cell r="AG13">
            <v>165347.86666666667</v>
          </cell>
        </row>
        <row r="22">
          <cell r="AG22">
            <v>44585.319969999997</v>
          </cell>
        </row>
        <row r="26">
          <cell r="AG26">
            <v>96729.61</v>
          </cell>
        </row>
        <row r="27">
          <cell r="AG27">
            <v>121459.80333333334</v>
          </cell>
        </row>
        <row r="30">
          <cell r="AG30">
            <v>116043.03</v>
          </cell>
        </row>
        <row r="34">
          <cell r="AG34">
            <v>93217.663000000015</v>
          </cell>
        </row>
        <row r="35">
          <cell r="AG35">
            <v>18829.967926000001</v>
          </cell>
        </row>
        <row r="36">
          <cell r="AG36">
            <v>1160.2421600000014</v>
          </cell>
        </row>
        <row r="37">
          <cell r="AG37">
            <v>27679.96</v>
          </cell>
        </row>
        <row r="40">
          <cell r="AG40">
            <v>1114.1485299999999</v>
          </cell>
        </row>
        <row r="41">
          <cell r="AG41">
            <v>14500</v>
          </cell>
          <cell r="AI41">
            <v>112498.8878865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7"/>
  <sheetViews>
    <sheetView workbookViewId="0">
      <selection activeCell="H8" sqref="H8"/>
    </sheetView>
  </sheetViews>
  <sheetFormatPr defaultRowHeight="15.75" x14ac:dyDescent="0.25"/>
  <cols>
    <col min="1" max="1" width="2" style="2" customWidth="1"/>
    <col min="2" max="2" width="0.7109375" style="2" customWidth="1"/>
    <col min="3" max="3" width="6.140625" style="1" customWidth="1"/>
    <col min="4" max="4" width="61.42578125" style="2" customWidth="1"/>
    <col min="5" max="5" width="15.140625" style="3" customWidth="1"/>
    <col min="6" max="6" width="14.140625" style="3" customWidth="1"/>
    <col min="7" max="7" width="20" style="2" customWidth="1"/>
    <col min="8" max="16384" width="9.140625" style="2"/>
  </cols>
  <sheetData>
    <row r="2" spans="3:7" s="23" customFormat="1" ht="18.75" x14ac:dyDescent="0.3">
      <c r="C2" s="27" t="s">
        <v>0</v>
      </c>
      <c r="D2" s="27"/>
      <c r="E2" s="27"/>
      <c r="F2" s="27"/>
    </row>
    <row r="3" spans="3:7" s="23" customFormat="1" ht="18.75" x14ac:dyDescent="0.3">
      <c r="C3" s="27" t="s">
        <v>24</v>
      </c>
      <c r="D3" s="27"/>
      <c r="E3" s="27"/>
      <c r="F3" s="27"/>
    </row>
    <row r="4" spans="3:7" s="23" customFormat="1" x14ac:dyDescent="0.25">
      <c r="C4" s="28"/>
      <c r="D4" s="28"/>
      <c r="E4" s="28"/>
      <c r="F4" s="28"/>
    </row>
    <row r="5" spans="3:7" x14ac:dyDescent="0.25">
      <c r="D5" s="2" t="s">
        <v>1</v>
      </c>
      <c r="F5" s="4">
        <f>[1]молодежная!$AG$4</f>
        <v>20705.2</v>
      </c>
    </row>
    <row r="6" spans="3:7" ht="69.75" customHeight="1" x14ac:dyDescent="0.25">
      <c r="C6" s="5" t="s">
        <v>2</v>
      </c>
      <c r="D6" s="6" t="s">
        <v>3</v>
      </c>
      <c r="E6" s="5" t="s">
        <v>4</v>
      </c>
      <c r="F6" s="5" t="s">
        <v>5</v>
      </c>
    </row>
    <row r="7" spans="3:7" ht="35.1" customHeight="1" x14ac:dyDescent="0.25">
      <c r="C7" s="5" t="s">
        <v>6</v>
      </c>
      <c r="D7" s="7" t="s">
        <v>7</v>
      </c>
      <c r="E7" s="8">
        <f>E8+E19</f>
        <v>4604.9100386047321</v>
      </c>
      <c r="F7" s="9">
        <f>E7/F5/12*1000</f>
        <v>18.533629388610638</v>
      </c>
    </row>
    <row r="8" spans="3:7" s="23" customFormat="1" ht="65.099999999999994" customHeight="1" x14ac:dyDescent="0.25">
      <c r="C8" s="6" t="s">
        <v>8</v>
      </c>
      <c r="D8" s="7" t="s">
        <v>30</v>
      </c>
      <c r="E8" s="8">
        <f>E9+E10+(([1]молодежная!$AH$9+[1]молодежная!$AH$10+[1]молодежная!$AH$11+[1]молодежная!$AH$12)/1000)</f>
        <v>4134.4392444165132</v>
      </c>
      <c r="F8" s="8">
        <f>E8/F5/12*1000</f>
        <v>16.640100250245158</v>
      </c>
    </row>
    <row r="9" spans="3:7" s="23" customFormat="1" ht="50.1" customHeight="1" x14ac:dyDescent="0.25">
      <c r="C9" s="6" t="s">
        <v>25</v>
      </c>
      <c r="D9" s="10" t="str">
        <f>[1]молодежная!$B$8</f>
        <v>Текущий ремонт  внутридомовых инженерных систем и конструктивных элементов здания (материалы, услуги подрядных организаций по ремонту)</v>
      </c>
      <c r="E9" s="8">
        <f>[1]молодежная!$AH$8/1000</f>
        <v>540</v>
      </c>
      <c r="F9" s="8">
        <f>E9/12/F5*1000</f>
        <v>2.1733670768695785</v>
      </c>
    </row>
    <row r="10" spans="3:7" s="23" customFormat="1" ht="35.1" customHeight="1" x14ac:dyDescent="0.25">
      <c r="C10" s="11" t="s">
        <v>26</v>
      </c>
      <c r="D10" s="7" t="s">
        <v>10</v>
      </c>
      <c r="E10" s="8">
        <f>SUM(E11:E18)</f>
        <v>1497</v>
      </c>
      <c r="F10" s="8">
        <f>E10/12/F5*1000</f>
        <v>6.0250565075439981</v>
      </c>
    </row>
    <row r="11" spans="3:7" s="23" customFormat="1" ht="39.950000000000003" customHeight="1" x14ac:dyDescent="0.25">
      <c r="C11" s="12"/>
      <c r="D11" s="13" t="str">
        <f>[1]молодежная!$B$14</f>
        <v xml:space="preserve"> - техническое обслуживание систем пожарной безопасности</v>
      </c>
      <c r="E11" s="14">
        <f>[1]молодежная!$AH$14/1000</f>
        <v>660</v>
      </c>
      <c r="F11" s="14"/>
      <c r="G11" s="24"/>
    </row>
    <row r="12" spans="3:7" ht="39.950000000000003" customHeight="1" x14ac:dyDescent="0.25">
      <c r="C12" s="15"/>
      <c r="D12" s="13" t="str">
        <f>[1]молодежная!$B$15</f>
        <v xml:space="preserve"> - ежемесячное обслуживание общедомового прибора учета воды и тепла</v>
      </c>
      <c r="E12" s="14">
        <f>[1]молодежная!$AH$15/1000</f>
        <v>60</v>
      </c>
      <c r="F12" s="16"/>
    </row>
    <row r="13" spans="3:7" ht="20.100000000000001" customHeight="1" x14ac:dyDescent="0.25">
      <c r="C13" s="15"/>
      <c r="D13" s="13" t="str">
        <f>[1]молодежная!$B$16</f>
        <v xml:space="preserve"> - испытание электроустановок</v>
      </c>
      <c r="E13" s="14">
        <f>[1]молодежная!$AH$16/1000</f>
        <v>12</v>
      </c>
      <c r="F13" s="16"/>
    </row>
    <row r="14" spans="3:7" ht="20.100000000000001" customHeight="1" x14ac:dyDescent="0.25">
      <c r="C14" s="15"/>
      <c r="D14" s="13" t="str">
        <f>[1]молодежная!$B$17</f>
        <v xml:space="preserve"> - сбор, хранение и утилизация ртутносодержащих ламп</v>
      </c>
      <c r="E14" s="14">
        <f>[1]молодежная!$AH$17/1000</f>
        <v>6</v>
      </c>
      <c r="F14" s="17"/>
    </row>
    <row r="15" spans="3:7" ht="20.100000000000001" customHeight="1" x14ac:dyDescent="0.25">
      <c r="C15" s="15"/>
      <c r="D15" s="13" t="str">
        <f>[1]молодежная!$B$18</f>
        <v xml:space="preserve"> - обслуживание крышной котельной</v>
      </c>
      <c r="E15" s="14">
        <f>[1]молодежная!$AH$18/1000</f>
        <v>540</v>
      </c>
      <c r="F15" s="16"/>
    </row>
    <row r="16" spans="3:7" ht="20.100000000000001" customHeight="1" x14ac:dyDescent="0.25">
      <c r="C16" s="15"/>
      <c r="D16" s="13" t="str">
        <f>[1]молодежная!$B$19</f>
        <v xml:space="preserve"> - поверка прибора учета</v>
      </c>
      <c r="E16" s="14">
        <f>[1]молодежная!$AH$19/1000</f>
        <v>15</v>
      </c>
      <c r="F16" s="16"/>
    </row>
    <row r="17" spans="3:7" ht="20.100000000000001" customHeight="1" x14ac:dyDescent="0.25">
      <c r="C17" s="15"/>
      <c r="D17" s="13" t="str">
        <f>[1]молодежная!$B$20</f>
        <v xml:space="preserve"> - химическая очистка теплообменников</v>
      </c>
      <c r="E17" s="14">
        <f>[1]молодежная!$AH$20/1000</f>
        <v>60</v>
      </c>
      <c r="F17" s="16"/>
    </row>
    <row r="18" spans="3:7" ht="20.100000000000001" customHeight="1" x14ac:dyDescent="0.25">
      <c r="C18" s="15"/>
      <c r="D18" s="13" t="str">
        <f>[1]молодежная!$B$21</f>
        <v xml:space="preserve"> - АСКУЭ</v>
      </c>
      <c r="E18" s="14">
        <f>[1]молодежная!$AH$21/1000</f>
        <v>144</v>
      </c>
      <c r="F18" s="16"/>
    </row>
    <row r="19" spans="3:7" s="23" customFormat="1" ht="24.95" customHeight="1" x14ac:dyDescent="0.25">
      <c r="C19" s="6" t="s">
        <v>9</v>
      </c>
      <c r="D19" s="7" t="s">
        <v>11</v>
      </c>
      <c r="E19" s="8">
        <f>[1]молодежная!$AH$22/1000</f>
        <v>470.47079418821903</v>
      </c>
      <c r="F19" s="18">
        <f>E19/12/F5*1000</f>
        <v>1.8935291383654791</v>
      </c>
    </row>
    <row r="20" spans="3:7" s="25" customFormat="1" ht="24.95" customHeight="1" x14ac:dyDescent="0.25">
      <c r="C20" s="6" t="s">
        <v>12</v>
      </c>
      <c r="D20" s="7" t="s">
        <v>27</v>
      </c>
      <c r="E20" s="8">
        <f>[1]молодежная!$AH$26/1000</f>
        <v>1122</v>
      </c>
      <c r="F20" s="19">
        <f>E20/12/F5*1000</f>
        <v>4.5157738152734579</v>
      </c>
    </row>
    <row r="21" spans="3:7" s="23" customFormat="1" ht="24.95" customHeight="1" x14ac:dyDescent="0.25">
      <c r="C21" s="6" t="s">
        <v>13</v>
      </c>
      <c r="D21" s="7" t="s">
        <v>14</v>
      </c>
      <c r="E21" s="8">
        <f>[1]молодежная!$AH$27/1000</f>
        <v>1095.6480716983124</v>
      </c>
      <c r="F21" s="19">
        <f>E21/12/F5*1000</f>
        <v>4.4097137904902812</v>
      </c>
    </row>
    <row r="22" spans="3:7" s="23" customFormat="1" ht="24.95" customHeight="1" x14ac:dyDescent="0.25">
      <c r="C22" s="6" t="s">
        <v>15</v>
      </c>
      <c r="D22" s="7" t="s">
        <v>16</v>
      </c>
      <c r="E22" s="8">
        <f>[1]молодежная!$AH$30/1000</f>
        <v>1159.2</v>
      </c>
      <c r="F22" s="19">
        <f>E22/12/F5*1000</f>
        <v>4.6654946583466961</v>
      </c>
    </row>
    <row r="23" spans="3:7" s="23" customFormat="1" ht="24.95" customHeight="1" x14ac:dyDescent="0.25">
      <c r="C23" s="6" t="s">
        <v>17</v>
      </c>
      <c r="D23" s="7" t="s">
        <v>20</v>
      </c>
      <c r="E23" s="8">
        <f>([1]молодежная!$AH$38+[1]молодежная!$AH$39+[1]молодежная!$AH$40+[1]молодежная!$AH$41+[1]молодежная!$AH$44+[1]молодежная!$AH$45)/1000</f>
        <v>680.14759205099199</v>
      </c>
      <c r="F23" s="19">
        <f>E23/F5/12*1000</f>
        <v>2.7374266369921236</v>
      </c>
    </row>
    <row r="24" spans="3:7" s="23" customFormat="1" ht="24.95" customHeight="1" x14ac:dyDescent="0.25">
      <c r="C24" s="6" t="s">
        <v>19</v>
      </c>
      <c r="D24" s="7" t="s">
        <v>22</v>
      </c>
      <c r="E24" s="8">
        <f>([1]молодежная!$AH$42+[1]молодежная!$AH$43+[1]молодежная!$AH$46+[1]молодежная!$AG$50*12)/1000</f>
        <v>875.52259531606876</v>
      </c>
      <c r="F24" s="19">
        <f>E24/F5/12*1000</f>
        <v>3.5237629328062066</v>
      </c>
    </row>
    <row r="25" spans="3:7" ht="24.95" customHeight="1" x14ac:dyDescent="0.25">
      <c r="C25" s="5" t="s">
        <v>21</v>
      </c>
      <c r="D25" s="7" t="s">
        <v>18</v>
      </c>
      <c r="E25" s="29" t="s">
        <v>28</v>
      </c>
      <c r="F25" s="30"/>
    </row>
    <row r="26" spans="3:7" ht="24.95" customHeight="1" x14ac:dyDescent="0.25">
      <c r="C26" s="6"/>
      <c r="D26" s="7" t="s">
        <v>23</v>
      </c>
      <c r="E26" s="20">
        <f>E7+E20+E21+E22+E23+E24</f>
        <v>9537.4282976701052</v>
      </c>
      <c r="F26" s="20"/>
    </row>
    <row r="27" spans="3:7" ht="80.099999999999994" customHeight="1" x14ac:dyDescent="0.25">
      <c r="C27" s="6"/>
      <c r="D27" s="21" t="s">
        <v>29</v>
      </c>
      <c r="E27" s="15"/>
      <c r="F27" s="22">
        <f>E26/F5/12*1000</f>
        <v>38.385801222519405</v>
      </c>
      <c r="G27" s="26"/>
    </row>
  </sheetData>
  <mergeCells count="4">
    <mergeCell ref="C2:F2"/>
    <mergeCell ref="C3:F3"/>
    <mergeCell ref="C4:F4"/>
    <mergeCell ref="E25:F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G24"/>
  <sheetViews>
    <sheetView topLeftCell="A18" workbookViewId="0">
      <selection activeCell="G10" sqref="G10"/>
    </sheetView>
  </sheetViews>
  <sheetFormatPr defaultRowHeight="15.75" x14ac:dyDescent="0.25"/>
  <cols>
    <col min="1" max="1" width="2" style="2" customWidth="1"/>
    <col min="2" max="2" width="0.7109375" style="2" customWidth="1"/>
    <col min="3" max="3" width="6.140625" style="1" customWidth="1"/>
    <col min="4" max="4" width="61.42578125" style="2" customWidth="1"/>
    <col min="5" max="5" width="15.140625" style="3" customWidth="1"/>
    <col min="6" max="6" width="14.140625" style="3" customWidth="1"/>
    <col min="7" max="7" width="20" style="2" customWidth="1"/>
    <col min="8" max="16384" width="9.140625" style="2"/>
  </cols>
  <sheetData>
    <row r="2" spans="3:6" s="23" customFormat="1" ht="18.75" x14ac:dyDescent="0.3">
      <c r="C2" s="27" t="s">
        <v>0</v>
      </c>
      <c r="D2" s="27"/>
      <c r="E2" s="27"/>
      <c r="F2" s="27"/>
    </row>
    <row r="3" spans="3:6" s="23" customFormat="1" ht="18.75" x14ac:dyDescent="0.3">
      <c r="C3" s="27" t="s">
        <v>31</v>
      </c>
      <c r="D3" s="27"/>
      <c r="E3" s="27"/>
      <c r="F3" s="27"/>
    </row>
    <row r="4" spans="3:6" s="23" customFormat="1" x14ac:dyDescent="0.25">
      <c r="C4" s="28"/>
      <c r="D4" s="28"/>
      <c r="E4" s="28"/>
      <c r="F4" s="28"/>
    </row>
    <row r="5" spans="3:6" x14ac:dyDescent="0.25">
      <c r="D5" s="2" t="s">
        <v>1</v>
      </c>
      <c r="F5" s="4">
        <v>5024.8999999999996</v>
      </c>
    </row>
    <row r="6" spans="3:6" ht="69.75" customHeight="1" x14ac:dyDescent="0.25">
      <c r="C6" s="5" t="s">
        <v>2</v>
      </c>
      <c r="D6" s="6" t="s">
        <v>3</v>
      </c>
      <c r="E6" s="5" t="s">
        <v>4</v>
      </c>
      <c r="F6" s="5" t="s">
        <v>5</v>
      </c>
    </row>
    <row r="7" spans="3:6" ht="35.1" customHeight="1" x14ac:dyDescent="0.25">
      <c r="C7" s="5" t="s">
        <v>6</v>
      </c>
      <c r="D7" s="7" t="s">
        <v>7</v>
      </c>
      <c r="E7" s="8">
        <f>E8+E16</f>
        <v>1071.5647261102038</v>
      </c>
      <c r="F7" s="9">
        <f>E7/F5/12*1000</f>
        <v>17.77091295531924</v>
      </c>
    </row>
    <row r="8" spans="3:6" s="23" customFormat="1" ht="65.099999999999994" customHeight="1" x14ac:dyDescent="0.25">
      <c r="C8" s="6" t="s">
        <v>8</v>
      </c>
      <c r="D8" s="7" t="s">
        <v>30</v>
      </c>
      <c r="E8" s="8">
        <f>('[1]Коммунистическая 33'!$AH$9+'[1]Коммунистическая 33'!$AH$10+'[1]Коммунистическая 33'!$AH$11+'[1]Коммунистическая 33'!$AH$12)/1000+E9+E10</f>
        <v>957.38719130173138</v>
      </c>
      <c r="F8" s="8">
        <f>E8/F5/12*1000</f>
        <v>15.87738381695376</v>
      </c>
    </row>
    <row r="9" spans="3:6" s="23" customFormat="1" ht="50.1" customHeight="1" x14ac:dyDescent="0.25">
      <c r="C9" s="6" t="s">
        <v>25</v>
      </c>
      <c r="D9" s="10" t="str">
        <f>[1]молодежная!$B$8</f>
        <v>Текущий ремонт  внутридомовых инженерных систем и конструктивных элементов здания (материалы, услуги подрядных организаций по ремонту)</v>
      </c>
      <c r="E9" s="8">
        <f>'[1]Коммунистическая 33'!$AH$8/1000-30</f>
        <v>237.60000000000002</v>
      </c>
      <c r="F9" s="8">
        <f>E9/12/F5*1000</f>
        <v>3.9403769229238397</v>
      </c>
    </row>
    <row r="10" spans="3:6" s="23" customFormat="1" ht="35.1" customHeight="1" x14ac:dyDescent="0.25">
      <c r="C10" s="11" t="s">
        <v>26</v>
      </c>
      <c r="D10" s="7" t="s">
        <v>34</v>
      </c>
      <c r="E10" s="8">
        <f>SUM(E11:E14)+E15</f>
        <v>111</v>
      </c>
      <c r="F10" s="8">
        <f>E10/12/F5*1000</f>
        <v>1.8408326533861372</v>
      </c>
    </row>
    <row r="11" spans="3:6" ht="19.5" hidden="1" customHeight="1" x14ac:dyDescent="0.25">
      <c r="C11" s="15"/>
      <c r="D11" s="13" t="s">
        <v>32</v>
      </c>
      <c r="E11" s="14">
        <f>'[1]Коммунистическая 33'!$AH$14/1000</f>
        <v>20.399999999999999</v>
      </c>
      <c r="F11" s="16"/>
    </row>
    <row r="12" spans="3:6" ht="20.100000000000001" hidden="1" customHeight="1" x14ac:dyDescent="0.25">
      <c r="C12" s="15"/>
      <c r="D12" s="13" t="str">
        <f>[1]молодежная!$B$16</f>
        <v xml:space="preserve"> - испытание электроустановок</v>
      </c>
      <c r="E12" s="14">
        <f>'[1]Коммунистическая 33'!$AH$15/1000</f>
        <v>6.6</v>
      </c>
      <c r="F12" s="16"/>
    </row>
    <row r="13" spans="3:6" ht="20.100000000000001" hidden="1" customHeight="1" x14ac:dyDescent="0.25">
      <c r="C13" s="15"/>
      <c r="D13" s="13" t="str">
        <f>[1]молодежная!$B$17</f>
        <v xml:space="preserve"> - сбор, хранение и утилизация ртутносодержащих ламп</v>
      </c>
      <c r="E13" s="14">
        <f>'[1]Коммунистическая 33'!$AH$16/1000</f>
        <v>6</v>
      </c>
      <c r="F13" s="17"/>
    </row>
    <row r="14" spans="3:6" ht="20.100000000000001" hidden="1" customHeight="1" x14ac:dyDescent="0.25">
      <c r="C14" s="15"/>
      <c r="D14" s="13" t="str">
        <f>[1]молодежная!$B$20</f>
        <v xml:space="preserve"> - химическая очистка теплообменников</v>
      </c>
      <c r="E14" s="14">
        <f>'[1]Коммунистическая 33'!$AH$17/1000</f>
        <v>48</v>
      </c>
      <c r="F14" s="16"/>
    </row>
    <row r="15" spans="3:6" ht="20.100000000000001" hidden="1" customHeight="1" x14ac:dyDescent="0.25">
      <c r="C15" s="15"/>
      <c r="D15" s="13" t="s">
        <v>33</v>
      </c>
      <c r="E15" s="14">
        <f>2.5*12</f>
        <v>30</v>
      </c>
      <c r="F15" s="16"/>
    </row>
    <row r="16" spans="3:6" s="23" customFormat="1" ht="24.95" customHeight="1" x14ac:dyDescent="0.25">
      <c r="C16" s="6" t="s">
        <v>9</v>
      </c>
      <c r="D16" s="7" t="s">
        <v>11</v>
      </c>
      <c r="E16" s="8">
        <f>'[1]Коммунистическая 33'!$AH$18/1000</f>
        <v>114.17753480847236</v>
      </c>
      <c r="F16" s="18">
        <f>E16/12/F5*1000</f>
        <v>1.8935291383654793</v>
      </c>
    </row>
    <row r="17" spans="3:7" s="25" customFormat="1" ht="24.95" customHeight="1" x14ac:dyDescent="0.25">
      <c r="C17" s="6" t="s">
        <v>12</v>
      </c>
      <c r="D17" s="7" t="s">
        <v>27</v>
      </c>
      <c r="E17" s="8">
        <f>'[1]Коммунистическая 33'!$AH$22/1000</f>
        <v>172.8</v>
      </c>
      <c r="F17" s="19">
        <f>E17/12/F5*1000</f>
        <v>2.865728671217338</v>
      </c>
    </row>
    <row r="18" spans="3:7" s="23" customFormat="1" ht="24.95" customHeight="1" x14ac:dyDescent="0.25">
      <c r="C18" s="6" t="s">
        <v>13</v>
      </c>
      <c r="D18" s="7" t="s">
        <v>14</v>
      </c>
      <c r="E18" s="8">
        <f>'[1]Коммунистическая 33'!$AH$23/1000</f>
        <v>350.4</v>
      </c>
      <c r="F18" s="19">
        <f>E18/12/F5*1000</f>
        <v>5.8110609166351574</v>
      </c>
    </row>
    <row r="19" spans="3:7" s="23" customFormat="1" ht="24.95" customHeight="1" x14ac:dyDescent="0.25">
      <c r="C19" s="6" t="s">
        <v>15</v>
      </c>
      <c r="D19" s="7" t="s">
        <v>16</v>
      </c>
      <c r="E19" s="8">
        <f>'[1]Коммунистическая 33'!$AH$26/1000</f>
        <v>420</v>
      </c>
      <c r="F19" s="19">
        <f>E19/12/F5*1000</f>
        <v>6.9653127425421406</v>
      </c>
    </row>
    <row r="20" spans="3:7" s="23" customFormat="1" ht="24.95" customHeight="1" x14ac:dyDescent="0.25">
      <c r="C20" s="6" t="s">
        <v>17</v>
      </c>
      <c r="D20" s="7" t="s">
        <v>20</v>
      </c>
      <c r="E20" s="8">
        <f>('[1]Коммунистическая 33'!$AH$30+'[1]Коммунистическая 33'!$AH$31+'[1]Коммунистическая 33'!$AH$32+'[1]Коммунистическая 33'!$AH$33+'[1]Коммунистическая 33'!$AH$36+'[1]Коммунистическая 33'!$AH$37)/1000</f>
        <v>218.19540648589791</v>
      </c>
      <c r="F20" s="19">
        <f>E20/F5/12*1000</f>
        <v>3.6185696313342541</v>
      </c>
    </row>
    <row r="21" spans="3:7" s="23" customFormat="1" ht="24.95" customHeight="1" x14ac:dyDescent="0.25">
      <c r="C21" s="6" t="s">
        <v>19</v>
      </c>
      <c r="D21" s="7" t="s">
        <v>22</v>
      </c>
      <c r="E21" s="8">
        <f>('[1]Коммунистическая 33'!$AH$34+'[1]Коммунистическая 33'!$AH$35+'[1]Коммунистическая 33'!$AH$38+'[1]Коммунистическая 33'!$AI$42)/1000</f>
        <v>252.76347751367763</v>
      </c>
      <c r="F21" s="19">
        <f>E21/F5/12*1000</f>
        <v>4.191849216131625</v>
      </c>
    </row>
    <row r="22" spans="3:7" ht="24.95" customHeight="1" x14ac:dyDescent="0.25">
      <c r="C22" s="5" t="s">
        <v>21</v>
      </c>
      <c r="D22" s="7" t="s">
        <v>18</v>
      </c>
      <c r="E22" s="29" t="s">
        <v>28</v>
      </c>
      <c r="F22" s="30"/>
    </row>
    <row r="23" spans="3:7" ht="24.95" customHeight="1" x14ac:dyDescent="0.25">
      <c r="C23" s="6"/>
      <c r="D23" s="7" t="s">
        <v>23</v>
      </c>
      <c r="E23" s="20">
        <f>E7+E17+E18+E19+E20+E21</f>
        <v>2485.7236101097792</v>
      </c>
      <c r="F23" s="20"/>
    </row>
    <row r="24" spans="3:7" ht="80.099999999999994" customHeight="1" x14ac:dyDescent="0.25">
      <c r="C24" s="6"/>
      <c r="D24" s="21" t="s">
        <v>29</v>
      </c>
      <c r="E24" s="15"/>
      <c r="F24" s="22">
        <f>E23/F5/12*1000</f>
        <v>41.223434133179758</v>
      </c>
      <c r="G24" s="26"/>
    </row>
  </sheetData>
  <mergeCells count="4">
    <mergeCell ref="C2:F2"/>
    <mergeCell ref="C3:F3"/>
    <mergeCell ref="C4:F4"/>
    <mergeCell ref="E22:F22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abSelected="1" workbookViewId="0">
      <selection activeCell="I23" sqref="I23"/>
    </sheetView>
  </sheetViews>
  <sheetFormatPr defaultRowHeight="15.75" x14ac:dyDescent="0.25"/>
  <cols>
    <col min="1" max="1" width="2" style="2" customWidth="1"/>
    <col min="2" max="2" width="0.7109375" style="2" customWidth="1"/>
    <col min="3" max="3" width="6.140625" style="1" customWidth="1"/>
    <col min="4" max="4" width="61.42578125" style="2" customWidth="1"/>
    <col min="5" max="5" width="15.140625" style="3" customWidth="1"/>
    <col min="6" max="6" width="14.140625" style="3" customWidth="1"/>
    <col min="7" max="7" width="20" style="2" customWidth="1"/>
    <col min="8" max="16384" width="9.140625" style="2"/>
  </cols>
  <sheetData>
    <row r="2" spans="3:6" s="23" customFormat="1" ht="18.75" x14ac:dyDescent="0.3">
      <c r="C2" s="27" t="s">
        <v>0</v>
      </c>
      <c r="D2" s="27"/>
      <c r="E2" s="27"/>
      <c r="F2" s="27"/>
    </row>
    <row r="3" spans="3:6" s="23" customFormat="1" ht="18.75" x14ac:dyDescent="0.3">
      <c r="C3" s="27" t="s">
        <v>35</v>
      </c>
      <c r="D3" s="27"/>
      <c r="E3" s="27"/>
      <c r="F3" s="27"/>
    </row>
    <row r="4" spans="3:6" s="23" customFormat="1" x14ac:dyDescent="0.25">
      <c r="C4" s="28"/>
      <c r="D4" s="28"/>
      <c r="E4" s="28"/>
      <c r="F4" s="28"/>
    </row>
    <row r="5" spans="3:6" x14ac:dyDescent="0.25">
      <c r="D5" s="2" t="s">
        <v>1</v>
      </c>
      <c r="F5" s="4">
        <f>23655.4+735.1</f>
        <v>24390.5</v>
      </c>
    </row>
    <row r="6" spans="3:6" ht="69.75" customHeight="1" x14ac:dyDescent="0.25">
      <c r="C6" s="5" t="s">
        <v>2</v>
      </c>
      <c r="D6" s="6" t="s">
        <v>3</v>
      </c>
      <c r="E6" s="5" t="s">
        <v>4</v>
      </c>
      <c r="F6" s="5" t="s">
        <v>5</v>
      </c>
    </row>
    <row r="7" spans="3:6" ht="35.1" customHeight="1" x14ac:dyDescent="0.25">
      <c r="C7" s="5" t="s">
        <v>6</v>
      </c>
      <c r="D7" s="7" t="s">
        <v>7</v>
      </c>
      <c r="E7" s="8">
        <f>E8+E15</f>
        <v>5099.5228932079999</v>
      </c>
      <c r="F7" s="9">
        <f>E7/F5/12*1000</f>
        <v>17.423186941664444</v>
      </c>
    </row>
    <row r="8" spans="3:6" s="23" customFormat="1" ht="65.099999999999994" customHeight="1" x14ac:dyDescent="0.25">
      <c r="C8" s="6" t="s">
        <v>8</v>
      </c>
      <c r="D8" s="7" t="s">
        <v>30</v>
      </c>
      <c r="E8" s="8">
        <f>('[1]Чугунова 15а'!$AG$7+'[1]Чугунова 15а'!$AG$13)*12/1000</f>
        <v>4564.4990535679999</v>
      </c>
      <c r="F8" s="8">
        <f>E8/F5/12*1000</f>
        <v>15.595208016673157</v>
      </c>
    </row>
    <row r="9" spans="3:6" s="23" customFormat="1" ht="50.1" customHeight="1" x14ac:dyDescent="0.25">
      <c r="C9" s="6"/>
      <c r="D9" s="10" t="str">
        <f>[1]молодежная!$B$8</f>
        <v>Текущий ремонт  внутридомовых инженерных систем и конструктивных элементов здания (материалы, услуги подрядных организаций по ремонту)</v>
      </c>
      <c r="E9" s="8">
        <f>'[1]Десантная 15'!$AG$8*12/1000</f>
        <v>296.39999999999998</v>
      </c>
      <c r="F9" s="8">
        <f>E9/12/F5*1000</f>
        <v>1.012689366761649</v>
      </c>
    </row>
    <row r="10" spans="3:6" s="23" customFormat="1" ht="35.1" customHeight="1" x14ac:dyDescent="0.25">
      <c r="C10" s="11"/>
      <c r="D10" s="7" t="s">
        <v>34</v>
      </c>
      <c r="E10" s="8">
        <f>'[1]Десантная 15'!$AG$13*12/1000</f>
        <v>594</v>
      </c>
      <c r="F10" s="8">
        <f>E10/12/F5*1000</f>
        <v>2.0294786904737503</v>
      </c>
    </row>
    <row r="11" spans="3:6" ht="19.5" hidden="1" customHeight="1" x14ac:dyDescent="0.25">
      <c r="C11" s="15"/>
      <c r="D11" s="13" t="s">
        <v>32</v>
      </c>
      <c r="E11" s="14">
        <f>'[1]Коммунистическая 33'!$AH$14/1000</f>
        <v>20.399999999999999</v>
      </c>
      <c r="F11" s="16"/>
    </row>
    <row r="12" spans="3:6" ht="20.100000000000001" hidden="1" customHeight="1" x14ac:dyDescent="0.25">
      <c r="C12" s="15"/>
      <c r="D12" s="13" t="str">
        <f>[1]молодежная!$B$16</f>
        <v xml:space="preserve"> - испытание электроустановок</v>
      </c>
      <c r="E12" s="14">
        <f>'[1]Коммунистическая 33'!$AH$15/1000</f>
        <v>6.6</v>
      </c>
      <c r="F12" s="16"/>
    </row>
    <row r="13" spans="3:6" ht="20.100000000000001" hidden="1" customHeight="1" x14ac:dyDescent="0.25">
      <c r="C13" s="15"/>
      <c r="D13" s="13" t="str">
        <f>[1]молодежная!$B$17</f>
        <v xml:space="preserve"> - сбор, хранение и утилизация ртутносодержащих ламп</v>
      </c>
      <c r="E13" s="14">
        <f>'[1]Коммунистическая 33'!$AH$16/1000</f>
        <v>6</v>
      </c>
      <c r="F13" s="17"/>
    </row>
    <row r="14" spans="3:6" ht="20.100000000000001" hidden="1" customHeight="1" x14ac:dyDescent="0.25">
      <c r="C14" s="15"/>
      <c r="D14" s="13" t="str">
        <f>[1]молодежная!$B$20</f>
        <v xml:space="preserve"> - химическая очистка теплообменников</v>
      </c>
      <c r="E14" s="14">
        <f>'[1]Коммунистическая 33'!$AH$17/1000</f>
        <v>48</v>
      </c>
      <c r="F14" s="16"/>
    </row>
    <row r="15" spans="3:6" s="23" customFormat="1" ht="24.95" customHeight="1" x14ac:dyDescent="0.25">
      <c r="C15" s="6" t="s">
        <v>9</v>
      </c>
      <c r="D15" s="7" t="s">
        <v>11</v>
      </c>
      <c r="E15" s="8">
        <f>'[1]Чугунова 15а'!$AG$22*12/1000</f>
        <v>535.02383963999989</v>
      </c>
      <c r="F15" s="18">
        <f>E15/12/F5*1000</f>
        <v>1.8279789249912874</v>
      </c>
    </row>
    <row r="16" spans="3:6" s="25" customFormat="1" ht="24.95" customHeight="1" x14ac:dyDescent="0.25">
      <c r="C16" s="6" t="s">
        <v>12</v>
      </c>
      <c r="D16" s="7" t="s">
        <v>27</v>
      </c>
      <c r="E16" s="8">
        <f>'[1]Чугунова 15а'!$AG$26*12/1000</f>
        <v>1160.75532</v>
      </c>
      <c r="F16" s="19">
        <f>E16/12/F5*1000</f>
        <v>3.9658723683401322</v>
      </c>
    </row>
    <row r="17" spans="3:7" s="23" customFormat="1" ht="24.95" customHeight="1" x14ac:dyDescent="0.25">
      <c r="C17" s="6" t="s">
        <v>13</v>
      </c>
      <c r="D17" s="7" t="s">
        <v>14</v>
      </c>
      <c r="E17" s="8">
        <f>'[1]Чугунова 15а'!$AG$27*12/1000</f>
        <v>1457.51764</v>
      </c>
      <c r="F17" s="19">
        <f>E17/12/F5*1000</f>
        <v>4.9797996487703555</v>
      </c>
    </row>
    <row r="18" spans="3:7" s="23" customFormat="1" ht="24.95" customHeight="1" x14ac:dyDescent="0.25">
      <c r="C18" s="6" t="s">
        <v>15</v>
      </c>
      <c r="D18" s="7" t="s">
        <v>16</v>
      </c>
      <c r="E18" s="8">
        <f>'[1]Чугунова 15а'!$AG$30*12/1000</f>
        <v>1392.5163599999998</v>
      </c>
      <c r="F18" s="19">
        <f>E18/12/F5*1000</f>
        <v>4.757714274000123</v>
      </c>
    </row>
    <row r="19" spans="3:7" s="23" customFormat="1" ht="24.95" customHeight="1" x14ac:dyDescent="0.25">
      <c r="C19" s="6" t="s">
        <v>17</v>
      </c>
      <c r="D19" s="7" t="s">
        <v>20</v>
      </c>
      <c r="E19" s="8">
        <f>('[1]Чугунова 15а'!$AG$34+'[1]Чугунова 15а'!$AG$35+'[1]Чугунова 15а'!$AG$36+'[1]Чугунова 15а'!$AG$37+'[1]Чугунова 15а'!$AG$40+'[1]Чугунова 15а'!$AG$41)*12/1000</f>
        <v>1878.0237793920001</v>
      </c>
      <c r="F19" s="19">
        <f>E19/F5/12*1000</f>
        <v>6.4165138728603344</v>
      </c>
    </row>
    <row r="20" spans="3:7" s="23" customFormat="1" ht="24.95" customHeight="1" x14ac:dyDescent="0.25">
      <c r="C20" s="6" t="s">
        <v>19</v>
      </c>
      <c r="D20" s="7" t="s">
        <v>22</v>
      </c>
      <c r="E20" s="8">
        <f>'[1]Чугунова 15а'!$AI$41*12/1000</f>
        <v>1349.9866546380001</v>
      </c>
      <c r="F20" s="19">
        <f>E20/F5/12*1000</f>
        <v>4.6124059730837832</v>
      </c>
    </row>
    <row r="21" spans="3:7" ht="24.95" customHeight="1" x14ac:dyDescent="0.25">
      <c r="C21" s="5" t="s">
        <v>21</v>
      </c>
      <c r="D21" s="7" t="s">
        <v>18</v>
      </c>
      <c r="E21" s="29" t="s">
        <v>28</v>
      </c>
      <c r="F21" s="30"/>
    </row>
    <row r="22" spans="3:7" ht="24.95" customHeight="1" x14ac:dyDescent="0.25">
      <c r="C22" s="6"/>
      <c r="D22" s="7" t="s">
        <v>23</v>
      </c>
      <c r="E22" s="20">
        <f>E7+E16+E17+E18+E19+E20</f>
        <v>12338.322647238001</v>
      </c>
      <c r="F22" s="20"/>
    </row>
    <row r="23" spans="3:7" ht="80.099999999999994" customHeight="1" x14ac:dyDescent="0.25">
      <c r="C23" s="6"/>
      <c r="D23" s="21" t="s">
        <v>29</v>
      </c>
      <c r="E23" s="15"/>
      <c r="F23" s="22">
        <f>E22/F5/12*1000</f>
        <v>42.155493078719182</v>
      </c>
      <c r="G23" s="26"/>
    </row>
  </sheetData>
  <mergeCells count="4">
    <mergeCell ref="C2:F2"/>
    <mergeCell ref="C3:F3"/>
    <mergeCell ref="C4:F4"/>
    <mergeCell ref="E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Молодежная</vt:lpstr>
      <vt:lpstr>Коммунистическая 33</vt:lpstr>
      <vt:lpstr>Чугунова 15 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2018-08-28T06:30:32Z</dcterms:modified>
</cp:coreProperties>
</file>